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50" windowWidth="21075" windowHeight="9030" activeTab="3"/>
  </bookViews>
  <sheets>
    <sheet name="complete Imp." sheetId="1" r:id="rId1"/>
    <sheet name="simplified Imp." sheetId="2" r:id="rId2"/>
    <sheet name="complete metric" sheetId="3" r:id="rId3"/>
    <sheet name="simplified metric" sheetId="4" r:id="rId4"/>
    <sheet name="moody" sheetId="5" r:id="rId5"/>
  </sheets>
  <calcPr calcId="144525"/>
</workbook>
</file>

<file path=xl/calcChain.xml><?xml version="1.0" encoding="utf-8"?>
<calcChain xmlns="http://schemas.openxmlformats.org/spreadsheetml/2006/main">
  <c r="M10" i="3" l="1"/>
  <c r="M10" i="1"/>
  <c r="P10" i="4" l="1"/>
  <c r="T10" i="3" l="1"/>
  <c r="S10" i="3"/>
  <c r="R10" i="3"/>
  <c r="O10" i="4"/>
  <c r="N10" i="4"/>
  <c r="K10" i="4"/>
  <c r="F10" i="4"/>
  <c r="B10" i="4"/>
  <c r="C10" i="4" s="1"/>
  <c r="E10" i="4" s="1"/>
  <c r="O10" i="3"/>
  <c r="N10" i="3"/>
  <c r="K10" i="3"/>
  <c r="B10" i="3"/>
  <c r="C10" i="3" s="1"/>
  <c r="E10" i="3" s="1"/>
  <c r="F10" i="3"/>
  <c r="I10" i="3" s="1"/>
  <c r="J10" i="3" s="1"/>
  <c r="Q10" i="3"/>
  <c r="P10" i="3"/>
  <c r="T10" i="1"/>
  <c r="P10" i="2"/>
  <c r="G10" i="2"/>
  <c r="C10" i="2"/>
  <c r="E10" i="2" s="1"/>
  <c r="I10" i="2" s="1"/>
  <c r="J10" i="2" s="1"/>
  <c r="L10" i="2" s="1"/>
  <c r="S10" i="1"/>
  <c r="R10" i="1"/>
  <c r="Q10" i="1"/>
  <c r="P10" i="1"/>
  <c r="G10" i="1"/>
  <c r="C10" i="1"/>
  <c r="E10" i="1" s="1"/>
  <c r="I10" i="1" s="1"/>
  <c r="J10" i="1" s="1"/>
  <c r="G10" i="3" l="1"/>
  <c r="I10" i="4"/>
  <c r="J10" i="4" s="1"/>
  <c r="L10" i="4" s="1"/>
  <c r="G10" i="4"/>
  <c r="L10" i="3"/>
  <c r="U10" i="3" s="1"/>
  <c r="W10" i="3" s="1"/>
  <c r="R10" i="2"/>
  <c r="L10" i="1"/>
  <c r="U10" i="1" s="1"/>
  <c r="W10" i="1" s="1"/>
  <c r="R10" i="4" l="1"/>
</calcChain>
</file>

<file path=xl/sharedStrings.xml><?xml version="1.0" encoding="utf-8"?>
<sst xmlns="http://schemas.openxmlformats.org/spreadsheetml/2006/main" count="266" uniqueCount="82">
  <si>
    <t>www.pumpfundamentals.com</t>
  </si>
  <si>
    <t>J. Chaurette June 2016</t>
  </si>
  <si>
    <t>Flow</t>
  </si>
  <si>
    <t>(gpm)</t>
  </si>
  <si>
    <t>Dia.</t>
  </si>
  <si>
    <t>(in)</t>
  </si>
  <si>
    <t>velocity</t>
  </si>
  <si>
    <t>(ft/s)</t>
  </si>
  <si>
    <t>viscosity</t>
  </si>
  <si>
    <t>(cSt)</t>
  </si>
  <si>
    <t>Reynolds no.</t>
  </si>
  <si>
    <t>frict. parameter</t>
  </si>
  <si>
    <t>(ft/s^2)</t>
  </si>
  <si>
    <t>frict. factor</t>
  </si>
  <si>
    <t>pipe length</t>
  </si>
  <si>
    <t>(ft)</t>
  </si>
  <si>
    <t>pipe frict. loss</t>
  </si>
  <si>
    <t>vel. head 1</t>
  </si>
  <si>
    <t>vel. head 2</t>
  </si>
  <si>
    <t>press. head 1</t>
  </si>
  <si>
    <t>press. head 2</t>
  </si>
  <si>
    <t>Total head</t>
  </si>
  <si>
    <t>(hp)</t>
  </si>
  <si>
    <t>Pump power</t>
  </si>
  <si>
    <t>pipe rough.</t>
  </si>
  <si>
    <t>v1^2/2g</t>
  </si>
  <si>
    <t>v2^2/2g</t>
  </si>
  <si>
    <t>SG</t>
  </si>
  <si>
    <t>fittings loss</t>
  </si>
  <si>
    <t>Equip. head loss</t>
  </si>
  <si>
    <t>suction static head</t>
  </si>
  <si>
    <t>discharge static head</t>
  </si>
  <si>
    <t>relative rough.</t>
  </si>
  <si>
    <t>1. determine flow rate</t>
  </si>
  <si>
    <t>V1 (ft/s)</t>
  </si>
  <si>
    <t>V2(ft/s)</t>
  </si>
  <si>
    <t>H1 (psi)</t>
  </si>
  <si>
    <t>H2 (psi)</t>
  </si>
  <si>
    <t>pump efficiency</t>
  </si>
  <si>
    <t>inlet and outlet pressure heads, inlet and outlet velocity, equipment head loss</t>
  </si>
  <si>
    <t>Equip. press. loss (psi)</t>
  </si>
  <si>
    <t>Simplified system: no velocity heads, no pressure heads, no equipment pressure loss</t>
  </si>
  <si>
    <t>(kW)</t>
  </si>
  <si>
    <t>(m)</t>
  </si>
  <si>
    <t>(m/s)</t>
  </si>
  <si>
    <t>(mm)</t>
  </si>
  <si>
    <t>(m/s^2)</t>
  </si>
  <si>
    <t>V1 (m/s)</t>
  </si>
  <si>
    <t>V2(m/s)</t>
  </si>
  <si>
    <t>H1 (kPa)</t>
  </si>
  <si>
    <t>H2 (kPa)</t>
  </si>
  <si>
    <t>Equip. press. loss (kPa)</t>
  </si>
  <si>
    <t>(l/min)</t>
  </si>
  <si>
    <t>The data used for the liquid are typical  for water at 20 C</t>
  </si>
  <si>
    <t>2. select pipe internal diameter</t>
  </si>
  <si>
    <t>however to calculate use Cameron book data, Hydraulic Institute or other reliable source</t>
  </si>
  <si>
    <t>3. calculate velocity, determine if appropriate i.e between 9 and 12 ft/s, for new system adjust diameter</t>
  </si>
  <si>
    <t>Yellow cells are inputs</t>
  </si>
  <si>
    <t>Note: don't trust anyone, do your own calculations to verify these results,</t>
  </si>
  <si>
    <t>verify the source of the formulas or develop them for yourself from basic principles,</t>
  </si>
  <si>
    <t>secure yourself with a belt and suspenders, don't get caught with your pants down,</t>
  </si>
  <si>
    <t>always sketch a flow schematic of your system including all the input data.</t>
  </si>
  <si>
    <t>http://www.pumpfundamentals.com/formula%20grab-bag.htm</t>
  </si>
  <si>
    <t>STEPS</t>
  </si>
  <si>
    <t>Formulas are located here:</t>
  </si>
  <si>
    <t>4. Calculate Reynolds number, determine if turbulent (i.e. above 4000)</t>
  </si>
  <si>
    <t>5. input data: viscosity, specific gravity, pipe length, suction and discharge static head</t>
  </si>
  <si>
    <t>acc. gravity</t>
  </si>
  <si>
    <t>6. calculate the friction parameter with Swamee-Jain, check the value with the Moody diagram (see 5th tab)</t>
  </si>
  <si>
    <t>Moody diagram based on the Colebrook equation</t>
  </si>
  <si>
    <t>7. calculate friction factor and pipe friction loss</t>
  </si>
  <si>
    <t>8. Fittings (i.e. elbow, tees, reducers, etc.) friction loss neglected for this example</t>
  </si>
  <si>
    <t>9. Input pump efficiency, use manufacturer's data from pump performance curve.</t>
  </si>
  <si>
    <t>10. Calculate pump power</t>
  </si>
  <si>
    <t xml:space="preserve">or the Crane technical paper 410 </t>
  </si>
  <si>
    <t>http://www.pumpfundamentals.com/help16.html</t>
  </si>
  <si>
    <t>to calculate use Cameron book data, Hydraulic Institute or other reliable source</t>
  </si>
  <si>
    <t>8. calculate fittings (i.e. elbow, tees, reducers, etc.) using the Crane tech. paper 410</t>
  </si>
  <si>
    <t>Pump system total head calculation example complete (Imperial units)</t>
  </si>
  <si>
    <t>Pump system total head calculation example simplified (Imperial units)</t>
  </si>
  <si>
    <t>Pump system total head calculation example complete (metric units)</t>
  </si>
  <si>
    <t>Pump system total head calculation example simplified (metric units)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</si>
</sst>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"/>
    <numFmt numFmtId="165" formatCode="0.0000"/>
    <numFmt numFmtId="166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8">
    <xf numFmtId="0" fontId="0" fillId="0" borderId="0" xfId="0"/>
    <xf numFmtId="0" fontId="2" fillId="0" borderId="0" xfId="1"/>
    <xf numFmtId="0" fontId="1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2" borderId="0" xfId="0" applyFill="1"/>
    <xf numFmtId="0" fontId="3" fillId="0" borderId="0" xfId="0" applyFont="1"/>
    <xf numFmtId="0" fontId="0" fillId="0" borderId="0" xfId="0" applyFill="1"/>
    <xf numFmtId="0" fontId="4" fillId="0" borderId="0" xfId="0" applyFont="1"/>
    <xf numFmtId="0" fontId="1" fillId="0" borderId="0" xfId="0" applyFont="1"/>
    <xf numFmtId="0" fontId="0" fillId="2" borderId="1" xfId="0" applyFill="1" applyBorder="1" applyAlignment="1">
      <alignment horizontal="center"/>
    </xf>
    <xf numFmtId="2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2" fontId="0" fillId="2" borderId="1" xfId="0" applyNumberForma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0</xdr:row>
      <xdr:rowOff>93693</xdr:rowOff>
    </xdr:from>
    <xdr:to>
      <xdr:col>8</xdr:col>
      <xdr:colOff>664365</xdr:colOff>
      <xdr:row>3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93693"/>
          <a:ext cx="835815" cy="677832"/>
        </a:xfrm>
        <a:prstGeom prst="rect">
          <a:avLst/>
        </a:prstGeom>
      </xdr:spPr>
    </xdr:pic>
    <xdr:clientData/>
  </xdr:twoCellAnchor>
  <xdr:twoCellAnchor editAs="oneCell">
    <xdr:from>
      <xdr:col>8</xdr:col>
      <xdr:colOff>1134665</xdr:colOff>
      <xdr:row>11</xdr:row>
      <xdr:rowOff>85724</xdr:rowOff>
    </xdr:from>
    <xdr:to>
      <xdr:col>13</xdr:col>
      <xdr:colOff>1209675</xdr:colOff>
      <xdr:row>34</xdr:row>
      <xdr:rowOff>49030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2990" y="2276474"/>
          <a:ext cx="4732735" cy="43448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0</xdr:row>
      <xdr:rowOff>95250</xdr:rowOff>
    </xdr:from>
    <xdr:to>
      <xdr:col>8</xdr:col>
      <xdr:colOff>403050</xdr:colOff>
      <xdr:row>3</xdr:row>
      <xdr:rowOff>95250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0" y="95250"/>
          <a:ext cx="822150" cy="666750"/>
        </a:xfrm>
        <a:prstGeom prst="rect">
          <a:avLst/>
        </a:prstGeom>
      </xdr:spPr>
    </xdr:pic>
    <xdr:clientData/>
  </xdr:twoCellAnchor>
  <xdr:twoCellAnchor editAs="oneCell">
    <xdr:from>
      <xdr:col>9</xdr:col>
      <xdr:colOff>188004</xdr:colOff>
      <xdr:row>11</xdr:row>
      <xdr:rowOff>85725</xdr:rowOff>
    </xdr:from>
    <xdr:to>
      <xdr:col>14</xdr:col>
      <xdr:colOff>409575</xdr:colOff>
      <xdr:row>35</xdr:row>
      <xdr:rowOff>11209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7429" y="2276475"/>
          <a:ext cx="5050746" cy="4497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8</xdr:col>
      <xdr:colOff>190500</xdr:colOff>
      <xdr:row>3</xdr:row>
      <xdr:rowOff>172618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90500"/>
          <a:ext cx="800100" cy="648868"/>
        </a:xfrm>
        <a:prstGeom prst="rect">
          <a:avLst/>
        </a:prstGeom>
      </xdr:spPr>
    </xdr:pic>
    <xdr:clientData/>
  </xdr:twoCellAnchor>
  <xdr:twoCellAnchor editAs="oneCell">
    <xdr:from>
      <xdr:col>9</xdr:col>
      <xdr:colOff>495299</xdr:colOff>
      <xdr:row>10</xdr:row>
      <xdr:rowOff>176968</xdr:rowOff>
    </xdr:from>
    <xdr:to>
      <xdr:col>14</xdr:col>
      <xdr:colOff>1123949</xdr:colOff>
      <xdr:row>32</xdr:row>
      <xdr:rowOff>107949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4" y="2177218"/>
          <a:ext cx="5705475" cy="41219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8</xdr:col>
      <xdr:colOff>236040</xdr:colOff>
      <xdr:row>4</xdr:row>
      <xdr:rowOff>19050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190500"/>
          <a:ext cx="845640" cy="685800"/>
        </a:xfrm>
        <a:prstGeom prst="rect">
          <a:avLst/>
        </a:prstGeom>
      </xdr:spPr>
    </xdr:pic>
    <xdr:clientData/>
  </xdr:twoCellAnchor>
  <xdr:twoCellAnchor editAs="oneCell">
    <xdr:from>
      <xdr:col>8</xdr:col>
      <xdr:colOff>733425</xdr:colOff>
      <xdr:row>11</xdr:row>
      <xdr:rowOff>50906</xdr:rowOff>
    </xdr:from>
    <xdr:to>
      <xdr:col>13</xdr:col>
      <xdr:colOff>1133475</xdr:colOff>
      <xdr:row>34</xdr:row>
      <xdr:rowOff>2560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2241656"/>
          <a:ext cx="5105400" cy="43331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76200</xdr:rowOff>
    </xdr:from>
    <xdr:to>
      <xdr:col>16</xdr:col>
      <xdr:colOff>485775</xdr:colOff>
      <xdr:row>38</xdr:row>
      <xdr:rowOff>65809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647700"/>
          <a:ext cx="10058400" cy="66571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umpfundamentals.com/help16.html" TargetMode="External"/><Relationship Id="rId2" Type="http://schemas.openxmlformats.org/officeDocument/2006/relationships/hyperlink" Target="http://www.pumpfundamentals.com/formula%20grab-bag.htm" TargetMode="External"/><Relationship Id="rId1" Type="http://schemas.openxmlformats.org/officeDocument/2006/relationships/hyperlink" Target="http://www.pumpfundamentals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umpfundamentals.com/help16.html" TargetMode="External"/><Relationship Id="rId2" Type="http://schemas.openxmlformats.org/officeDocument/2006/relationships/hyperlink" Target="http://www.pumpfundamentals.com/formula%20grab-bag.htm" TargetMode="External"/><Relationship Id="rId1" Type="http://schemas.openxmlformats.org/officeDocument/2006/relationships/hyperlink" Target="http://www.pumpfundamentals.com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umpfundamentals.com/help16.html" TargetMode="External"/><Relationship Id="rId2" Type="http://schemas.openxmlformats.org/officeDocument/2006/relationships/hyperlink" Target="http://www.pumpfundamentals.com/formula%20grab-bag.htm" TargetMode="External"/><Relationship Id="rId1" Type="http://schemas.openxmlformats.org/officeDocument/2006/relationships/hyperlink" Target="http://www.pumpfundamentals.com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umpfundamentals.com/help16.html" TargetMode="External"/><Relationship Id="rId2" Type="http://schemas.openxmlformats.org/officeDocument/2006/relationships/hyperlink" Target="http://www.pumpfundamentals.com/formula%20grab-bag.htm" TargetMode="External"/><Relationship Id="rId1" Type="http://schemas.openxmlformats.org/officeDocument/2006/relationships/hyperlink" Target="http://www.pumpfundamentals.com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34"/>
  <sheetViews>
    <sheetView topLeftCell="A7" zoomScaleNormal="100" workbookViewId="0">
      <selection activeCell="A3" sqref="A3"/>
    </sheetView>
  </sheetViews>
  <sheetFormatPr defaultRowHeight="15" x14ac:dyDescent="0.25"/>
  <cols>
    <col min="5" max="7" width="13.42578125" customWidth="1"/>
    <col min="8" max="8" width="7.85546875" customWidth="1"/>
    <col min="9" max="9" width="17.28515625" customWidth="1"/>
    <col min="10" max="10" width="12.5703125" customWidth="1"/>
    <col min="11" max="11" width="11.42578125" customWidth="1"/>
    <col min="12" max="13" width="14.28515625" customWidth="1"/>
    <col min="14" max="14" width="18.42578125" customWidth="1"/>
    <col min="15" max="15" width="19.85546875" customWidth="1"/>
    <col min="16" max="16" width="11.85546875" customWidth="1"/>
    <col min="17" max="17" width="21.5703125" customWidth="1"/>
    <col min="18" max="18" width="14.5703125" customWidth="1"/>
    <col min="19" max="19" width="13.7109375" customWidth="1"/>
    <col min="20" max="20" width="16.85546875" customWidth="1"/>
    <col min="21" max="21" width="11.42578125" customWidth="1"/>
    <col min="22" max="22" width="15.7109375" customWidth="1"/>
    <col min="23" max="23" width="12" customWidth="1"/>
  </cols>
  <sheetData>
    <row r="2" spans="1:23" ht="18.75" x14ac:dyDescent="0.3">
      <c r="A2" s="5" t="s">
        <v>78</v>
      </c>
      <c r="B2" s="5"/>
    </row>
    <row r="3" spans="1:23" ht="18.75" x14ac:dyDescent="0.3">
      <c r="A3" s="8" t="s">
        <v>1</v>
      </c>
      <c r="B3" s="5"/>
      <c r="J3" t="s">
        <v>67</v>
      </c>
      <c r="K3">
        <v>32.17</v>
      </c>
      <c r="M3" t="s">
        <v>34</v>
      </c>
      <c r="N3" s="4">
        <v>0</v>
      </c>
      <c r="O3" s="3" t="s">
        <v>36</v>
      </c>
      <c r="P3" s="4">
        <v>0</v>
      </c>
      <c r="Q3" t="s">
        <v>40</v>
      </c>
      <c r="R3">
        <v>0</v>
      </c>
    </row>
    <row r="4" spans="1:23" x14ac:dyDescent="0.25">
      <c r="A4" s="1" t="s">
        <v>0</v>
      </c>
      <c r="J4" t="s">
        <v>12</v>
      </c>
      <c r="M4" t="s">
        <v>35</v>
      </c>
      <c r="N4" s="4">
        <v>0</v>
      </c>
      <c r="O4" s="3" t="s">
        <v>37</v>
      </c>
      <c r="P4" s="4">
        <v>0</v>
      </c>
    </row>
    <row r="6" spans="1:23" x14ac:dyDescent="0.25">
      <c r="A6" s="2" t="s">
        <v>2</v>
      </c>
      <c r="B6" s="2" t="s">
        <v>4</v>
      </c>
      <c r="C6" s="2" t="s">
        <v>6</v>
      </c>
      <c r="D6" s="2" t="s">
        <v>8</v>
      </c>
      <c r="E6" s="2" t="s">
        <v>10</v>
      </c>
      <c r="F6" s="2" t="s">
        <v>24</v>
      </c>
      <c r="G6" s="2" t="s">
        <v>32</v>
      </c>
      <c r="H6" s="2" t="s">
        <v>27</v>
      </c>
      <c r="I6" s="2" t="s">
        <v>11</v>
      </c>
      <c r="J6" s="2" t="s">
        <v>13</v>
      </c>
      <c r="K6" s="2" t="s">
        <v>14</v>
      </c>
      <c r="L6" s="2" t="s">
        <v>16</v>
      </c>
      <c r="M6" s="2" t="s">
        <v>28</v>
      </c>
      <c r="N6" s="2" t="s">
        <v>30</v>
      </c>
      <c r="O6" s="2" t="s">
        <v>31</v>
      </c>
      <c r="P6" s="2" t="s">
        <v>17</v>
      </c>
      <c r="Q6" s="2" t="s">
        <v>18</v>
      </c>
      <c r="R6" s="2" t="s">
        <v>19</v>
      </c>
      <c r="S6" s="2" t="s">
        <v>20</v>
      </c>
      <c r="T6" s="2" t="s">
        <v>29</v>
      </c>
      <c r="U6" s="2" t="s">
        <v>21</v>
      </c>
      <c r="V6" s="2" t="s">
        <v>38</v>
      </c>
      <c r="W6" s="2" t="s">
        <v>23</v>
      </c>
    </row>
    <row r="7" spans="1:23" x14ac:dyDescent="0.25">
      <c r="A7" s="2" t="s">
        <v>3</v>
      </c>
      <c r="B7" s="2" t="s">
        <v>5</v>
      </c>
      <c r="C7" s="2" t="s">
        <v>7</v>
      </c>
      <c r="D7" s="2" t="s">
        <v>9</v>
      </c>
      <c r="E7" s="2"/>
      <c r="F7" s="2" t="s">
        <v>15</v>
      </c>
      <c r="G7" s="2"/>
      <c r="H7" s="2"/>
      <c r="I7" s="2"/>
      <c r="J7" s="2"/>
      <c r="K7" s="2" t="s">
        <v>15</v>
      </c>
      <c r="L7" s="2" t="s">
        <v>15</v>
      </c>
      <c r="M7" s="2" t="s">
        <v>15</v>
      </c>
      <c r="N7" s="2" t="s">
        <v>15</v>
      </c>
      <c r="O7" s="2" t="s">
        <v>15</v>
      </c>
      <c r="P7" s="2" t="s">
        <v>25</v>
      </c>
      <c r="Q7" s="2" t="s">
        <v>26</v>
      </c>
      <c r="R7" s="2" t="s">
        <v>15</v>
      </c>
      <c r="S7" s="2" t="s">
        <v>15</v>
      </c>
      <c r="T7" s="2" t="s">
        <v>15</v>
      </c>
      <c r="U7" s="2" t="s">
        <v>15</v>
      </c>
      <c r="V7" s="2"/>
      <c r="W7" s="2" t="s">
        <v>22</v>
      </c>
    </row>
    <row r="8" spans="1:23" x14ac:dyDescent="0.25">
      <c r="P8" s="2" t="s">
        <v>15</v>
      </c>
      <c r="Q8" s="2" t="s">
        <v>15</v>
      </c>
    </row>
    <row r="9" spans="1:23" x14ac:dyDescent="0.25">
      <c r="P9" s="2"/>
      <c r="Q9" s="2"/>
    </row>
    <row r="10" spans="1:23" x14ac:dyDescent="0.25">
      <c r="A10" s="9">
        <v>100</v>
      </c>
      <c r="B10" s="9">
        <v>2</v>
      </c>
      <c r="C10" s="10">
        <f>0.4085*A10/B10^2</f>
        <v>10.212499999999999</v>
      </c>
      <c r="D10" s="9">
        <v>1</v>
      </c>
      <c r="E10" s="11">
        <f>7746*C10*B10/D10</f>
        <v>158212.04999999999</v>
      </c>
      <c r="F10" s="12">
        <v>1.4999999999999999E-4</v>
      </c>
      <c r="G10" s="13">
        <f>F10*12/B10</f>
        <v>8.9999999999999998E-4</v>
      </c>
      <c r="H10" s="14">
        <v>1</v>
      </c>
      <c r="I10" s="15">
        <f>0.25/(LOG((F10*12/3.7/B10)+(5.74/E10^0.9))^2)</f>
        <v>2.1130396122579387E-2</v>
      </c>
      <c r="J10" s="10">
        <f>1200*I10*C10^2/B10/2/$K$3</f>
        <v>20.551426470893478</v>
      </c>
      <c r="K10" s="9">
        <v>75</v>
      </c>
      <c r="L10" s="10">
        <f>J10*K10/100</f>
        <v>15.41356985317011</v>
      </c>
      <c r="M10" s="14">
        <f>6*30*I10*C10^2/2/$K$3</f>
        <v>6.1654279412680433</v>
      </c>
      <c r="N10" s="14">
        <v>5</v>
      </c>
      <c r="O10" s="14">
        <v>25</v>
      </c>
      <c r="P10" s="16">
        <f>$N$3^2/2/$K$3</f>
        <v>0</v>
      </c>
      <c r="Q10" s="16">
        <f>$N$4^2/2/$K$3</f>
        <v>0</v>
      </c>
      <c r="R10" s="16">
        <f>$P$4*2.31/H10</f>
        <v>0</v>
      </c>
      <c r="S10" s="16">
        <f>$P$5*2.31/H10</f>
        <v>0</v>
      </c>
      <c r="T10" s="9">
        <f>2.31*$R$3/H10</f>
        <v>0</v>
      </c>
      <c r="U10" s="10">
        <f>L10+T10+Q10-P10+S10-R10+M10+O10-N10</f>
        <v>41.578997794438152</v>
      </c>
      <c r="V10" s="14">
        <v>0.85</v>
      </c>
      <c r="W10" s="17">
        <f>H10*A10*U10/V10/3960</f>
        <v>1.2352643432691075</v>
      </c>
    </row>
    <row r="13" spans="1:23" x14ac:dyDescent="0.25">
      <c r="A13" s="7" t="s">
        <v>58</v>
      </c>
    </row>
    <row r="14" spans="1:23" x14ac:dyDescent="0.25">
      <c r="A14" s="7" t="s">
        <v>59</v>
      </c>
    </row>
    <row r="15" spans="1:23" x14ac:dyDescent="0.25">
      <c r="A15" s="7" t="s">
        <v>60</v>
      </c>
    </row>
    <row r="16" spans="1:23" x14ac:dyDescent="0.25">
      <c r="A16" s="7" t="s">
        <v>61</v>
      </c>
    </row>
    <row r="17" spans="1:5" x14ac:dyDescent="0.25">
      <c r="A17" s="4" t="s">
        <v>57</v>
      </c>
      <c r="B17" s="4"/>
      <c r="C17" s="4"/>
    </row>
    <row r="18" spans="1:5" x14ac:dyDescent="0.25">
      <c r="A18" t="s">
        <v>53</v>
      </c>
    </row>
    <row r="19" spans="1:5" x14ac:dyDescent="0.25">
      <c r="A19" s="8" t="s">
        <v>63</v>
      </c>
    </row>
    <row r="20" spans="1:5" x14ac:dyDescent="0.25">
      <c r="A20" t="s">
        <v>33</v>
      </c>
    </row>
    <row r="21" spans="1:5" x14ac:dyDescent="0.25">
      <c r="A21" t="s">
        <v>54</v>
      </c>
    </row>
    <row r="22" spans="1:5" x14ac:dyDescent="0.25">
      <c r="A22" t="s">
        <v>56</v>
      </c>
    </row>
    <row r="23" spans="1:5" x14ac:dyDescent="0.25">
      <c r="A23" t="s">
        <v>65</v>
      </c>
    </row>
    <row r="24" spans="1:5" x14ac:dyDescent="0.25">
      <c r="A24" t="s">
        <v>66</v>
      </c>
    </row>
    <row r="25" spans="1:5" x14ac:dyDescent="0.25">
      <c r="A25" t="s">
        <v>39</v>
      </c>
    </row>
    <row r="26" spans="1:5" x14ac:dyDescent="0.25">
      <c r="A26" t="s">
        <v>68</v>
      </c>
    </row>
    <row r="27" spans="1:5" x14ac:dyDescent="0.25">
      <c r="A27" t="s">
        <v>70</v>
      </c>
    </row>
    <row r="28" spans="1:5" x14ac:dyDescent="0.25">
      <c r="A28" t="s">
        <v>77</v>
      </c>
    </row>
    <row r="29" spans="1:5" x14ac:dyDescent="0.25">
      <c r="A29" t="s">
        <v>76</v>
      </c>
    </row>
    <row r="30" spans="1:5" x14ac:dyDescent="0.25">
      <c r="A30" t="s">
        <v>74</v>
      </c>
      <c r="E30" s="1" t="s">
        <v>75</v>
      </c>
    </row>
    <row r="31" spans="1:5" x14ac:dyDescent="0.25">
      <c r="A31" t="s">
        <v>72</v>
      </c>
    </row>
    <row r="32" spans="1:5" x14ac:dyDescent="0.25">
      <c r="A32" t="s">
        <v>73</v>
      </c>
    </row>
    <row r="33" spans="1:1" x14ac:dyDescent="0.25">
      <c r="A33" t="s">
        <v>64</v>
      </c>
    </row>
    <row r="34" spans="1:1" x14ac:dyDescent="0.25">
      <c r="A34" s="1" t="s">
        <v>62</v>
      </c>
    </row>
  </sheetData>
  <hyperlinks>
    <hyperlink ref="A4" r:id="rId1"/>
    <hyperlink ref="A34" r:id="rId2"/>
    <hyperlink ref="E30" r:id="rId3"/>
  </hyperlinks>
  <pageMargins left="0.7" right="0.7" top="0.75" bottom="0.75" header="0.3" footer="0.3"/>
  <pageSetup orientation="portrait" horizontalDpi="4294967293" verticalDpi="4294967293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35"/>
  <sheetViews>
    <sheetView topLeftCell="A9" workbookViewId="0">
      <selection activeCell="A3" sqref="A3"/>
    </sheetView>
  </sheetViews>
  <sheetFormatPr defaultRowHeight="15" x14ac:dyDescent="0.25"/>
  <cols>
    <col min="5" max="5" width="12.7109375" customWidth="1"/>
    <col min="6" max="6" width="14" customWidth="1"/>
    <col min="7" max="7" width="15" customWidth="1"/>
    <col min="9" max="9" width="15" customWidth="1"/>
    <col min="10" max="10" width="12.85546875" customWidth="1"/>
    <col min="11" max="11" width="13.5703125" customWidth="1"/>
    <col min="12" max="12" width="15.140625" customWidth="1"/>
    <col min="13" max="13" width="14" customWidth="1"/>
    <col min="14" max="14" width="16.85546875" customWidth="1"/>
    <col min="15" max="15" width="18.85546875" customWidth="1"/>
    <col min="16" max="16" width="12.7109375" customWidth="1"/>
    <col min="17" max="17" width="15.42578125" customWidth="1"/>
    <col min="18" max="18" width="14.85546875" customWidth="1"/>
  </cols>
  <sheetData>
    <row r="2" spans="1:18" ht="18.75" x14ac:dyDescent="0.3">
      <c r="A2" s="5" t="s">
        <v>79</v>
      </c>
      <c r="B2" s="5"/>
    </row>
    <row r="3" spans="1:18" ht="18.75" x14ac:dyDescent="0.3">
      <c r="A3" s="8" t="s">
        <v>1</v>
      </c>
      <c r="B3" s="5"/>
      <c r="J3" t="s">
        <v>67</v>
      </c>
      <c r="K3">
        <v>32.17</v>
      </c>
      <c r="N3" s="6"/>
      <c r="O3" s="3"/>
    </row>
    <row r="4" spans="1:18" x14ac:dyDescent="0.25">
      <c r="A4" s="1" t="s">
        <v>0</v>
      </c>
      <c r="J4" t="s">
        <v>12</v>
      </c>
      <c r="N4" s="6"/>
      <c r="O4" s="3"/>
    </row>
    <row r="6" spans="1:18" x14ac:dyDescent="0.25">
      <c r="A6" s="2" t="s">
        <v>2</v>
      </c>
      <c r="B6" s="2" t="s">
        <v>4</v>
      </c>
      <c r="C6" s="2" t="s">
        <v>6</v>
      </c>
      <c r="D6" s="2" t="s">
        <v>8</v>
      </c>
      <c r="E6" s="2" t="s">
        <v>10</v>
      </c>
      <c r="F6" s="2" t="s">
        <v>24</v>
      </c>
      <c r="G6" s="2" t="s">
        <v>32</v>
      </c>
      <c r="H6" s="2" t="s">
        <v>27</v>
      </c>
      <c r="I6" s="2" t="s">
        <v>11</v>
      </c>
      <c r="J6" s="2" t="s">
        <v>13</v>
      </c>
      <c r="K6" s="2" t="s">
        <v>14</v>
      </c>
      <c r="L6" s="2" t="s">
        <v>16</v>
      </c>
      <c r="M6" s="2" t="s">
        <v>28</v>
      </c>
      <c r="N6" s="2" t="s">
        <v>30</v>
      </c>
      <c r="O6" s="2" t="s">
        <v>31</v>
      </c>
      <c r="P6" s="2" t="s">
        <v>21</v>
      </c>
      <c r="Q6" s="2" t="s">
        <v>38</v>
      </c>
      <c r="R6" s="2" t="s">
        <v>23</v>
      </c>
    </row>
    <row r="7" spans="1:18" x14ac:dyDescent="0.25">
      <c r="A7" s="2" t="s">
        <v>3</v>
      </c>
      <c r="B7" s="2" t="s">
        <v>5</v>
      </c>
      <c r="C7" s="2" t="s">
        <v>7</v>
      </c>
      <c r="D7" s="2" t="s">
        <v>9</v>
      </c>
      <c r="E7" s="2"/>
      <c r="F7" s="2" t="s">
        <v>15</v>
      </c>
      <c r="G7" s="2"/>
      <c r="H7" s="2"/>
      <c r="I7" s="2"/>
      <c r="J7" s="2"/>
      <c r="K7" s="2" t="s">
        <v>15</v>
      </c>
      <c r="L7" s="2" t="s">
        <v>15</v>
      </c>
      <c r="M7" s="2" t="s">
        <v>15</v>
      </c>
      <c r="N7" s="2" t="s">
        <v>15</v>
      </c>
      <c r="O7" s="2" t="s">
        <v>15</v>
      </c>
      <c r="P7" s="2" t="s">
        <v>15</v>
      </c>
      <c r="Q7" s="2"/>
      <c r="R7" s="2" t="s">
        <v>22</v>
      </c>
    </row>
    <row r="10" spans="1:18" x14ac:dyDescent="0.25">
      <c r="A10" s="9">
        <v>100</v>
      </c>
      <c r="B10" s="9">
        <v>2</v>
      </c>
      <c r="C10" s="10">
        <f>0.4085*A10/B10^2</f>
        <v>10.212499999999999</v>
      </c>
      <c r="D10" s="9">
        <v>1</v>
      </c>
      <c r="E10" s="11">
        <f>7746*C10*B10/D10</f>
        <v>158212.04999999999</v>
      </c>
      <c r="F10" s="12">
        <v>1.4999999999999999E-4</v>
      </c>
      <c r="G10" s="13">
        <f>F10*12/B10</f>
        <v>8.9999999999999998E-4</v>
      </c>
      <c r="H10" s="14">
        <v>1</v>
      </c>
      <c r="I10" s="15">
        <f>0.25/(LOG((F10*12/3.7/B10)+(5.74/E10^0.9))^2)</f>
        <v>2.1130396122579387E-2</v>
      </c>
      <c r="J10" s="10">
        <f>1200*I10*C10^2/B10/2/$K$3</f>
        <v>20.551426470893478</v>
      </c>
      <c r="K10" s="9">
        <v>75</v>
      </c>
      <c r="L10" s="10">
        <f>J10*K10/100</f>
        <v>15.41356985317011</v>
      </c>
      <c r="M10" s="14">
        <v>0</v>
      </c>
      <c r="N10" s="14">
        <v>5</v>
      </c>
      <c r="O10" s="14">
        <v>25</v>
      </c>
      <c r="P10" s="10">
        <f>L10+M10+O10-N10</f>
        <v>35.41356985317011</v>
      </c>
      <c r="Q10" s="14">
        <v>0.85</v>
      </c>
      <c r="R10" s="17">
        <f>H10*A10*P10/Q10/3960</f>
        <v>1.0520965494108767</v>
      </c>
    </row>
    <row r="13" spans="1:18" x14ac:dyDescent="0.25">
      <c r="A13" s="7" t="s">
        <v>58</v>
      </c>
    </row>
    <row r="14" spans="1:18" x14ac:dyDescent="0.25">
      <c r="A14" s="7" t="s">
        <v>59</v>
      </c>
    </row>
    <row r="15" spans="1:18" x14ac:dyDescent="0.25">
      <c r="A15" s="7" t="s">
        <v>60</v>
      </c>
    </row>
    <row r="16" spans="1:18" x14ac:dyDescent="0.25">
      <c r="A16" s="7" t="s">
        <v>61</v>
      </c>
    </row>
    <row r="17" spans="1:5" x14ac:dyDescent="0.25">
      <c r="A17" t="s">
        <v>41</v>
      </c>
    </row>
    <row r="18" spans="1:5" x14ac:dyDescent="0.25">
      <c r="A18" s="4" t="s">
        <v>57</v>
      </c>
      <c r="B18" s="4"/>
      <c r="C18" s="4"/>
    </row>
    <row r="19" spans="1:5" x14ac:dyDescent="0.25">
      <c r="A19" t="s">
        <v>53</v>
      </c>
    </row>
    <row r="20" spans="1:5" x14ac:dyDescent="0.25">
      <c r="A20" s="8" t="s">
        <v>63</v>
      </c>
    </row>
    <row r="21" spans="1:5" x14ac:dyDescent="0.25">
      <c r="A21" t="s">
        <v>33</v>
      </c>
    </row>
    <row r="22" spans="1:5" x14ac:dyDescent="0.25">
      <c r="A22" t="s">
        <v>54</v>
      </c>
    </row>
    <row r="23" spans="1:5" x14ac:dyDescent="0.25">
      <c r="A23" t="s">
        <v>56</v>
      </c>
    </row>
    <row r="24" spans="1:5" x14ac:dyDescent="0.25">
      <c r="A24" t="s">
        <v>65</v>
      </c>
    </row>
    <row r="25" spans="1:5" x14ac:dyDescent="0.25">
      <c r="A25" t="s">
        <v>66</v>
      </c>
    </row>
    <row r="26" spans="1:5" x14ac:dyDescent="0.25">
      <c r="A26" t="s">
        <v>68</v>
      </c>
    </row>
    <row r="27" spans="1:5" x14ac:dyDescent="0.25">
      <c r="A27" t="s">
        <v>70</v>
      </c>
    </row>
    <row r="28" spans="1:5" x14ac:dyDescent="0.25">
      <c r="A28" t="s">
        <v>71</v>
      </c>
    </row>
    <row r="29" spans="1:5" x14ac:dyDescent="0.25">
      <c r="A29" t="s">
        <v>55</v>
      </c>
    </row>
    <row r="30" spans="1:5" x14ac:dyDescent="0.25">
      <c r="A30" t="s">
        <v>74</v>
      </c>
      <c r="E30" s="1" t="s">
        <v>75</v>
      </c>
    </row>
    <row r="31" spans="1:5" x14ac:dyDescent="0.25">
      <c r="A31" t="s">
        <v>72</v>
      </c>
    </row>
    <row r="32" spans="1:5" x14ac:dyDescent="0.25">
      <c r="A32" t="s">
        <v>73</v>
      </c>
    </row>
    <row r="34" spans="1:1" x14ac:dyDescent="0.25">
      <c r="A34" t="s">
        <v>64</v>
      </c>
    </row>
    <row r="35" spans="1:1" x14ac:dyDescent="0.25">
      <c r="A35" s="1" t="s">
        <v>62</v>
      </c>
    </row>
  </sheetData>
  <hyperlinks>
    <hyperlink ref="A4" r:id="rId1"/>
    <hyperlink ref="A35" r:id="rId2"/>
    <hyperlink ref="E30" r:id="rId3"/>
  </hyperlinks>
  <pageMargins left="0.7" right="0.7" top="0.75" bottom="0.75" header="0.3" footer="0.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35"/>
  <sheetViews>
    <sheetView topLeftCell="A7" workbookViewId="0">
      <selection activeCell="I18" sqref="I18"/>
    </sheetView>
  </sheetViews>
  <sheetFormatPr defaultRowHeight="15" x14ac:dyDescent="0.25"/>
  <cols>
    <col min="5" max="5" width="13.85546875" customWidth="1"/>
    <col min="6" max="6" width="12.42578125" customWidth="1"/>
    <col min="7" max="7" width="13.5703125" customWidth="1"/>
    <col min="9" max="9" width="14.5703125" customWidth="1"/>
    <col min="10" max="10" width="13.28515625" customWidth="1"/>
    <col min="11" max="11" width="14.28515625" customWidth="1"/>
    <col min="12" max="12" width="14.42578125" customWidth="1"/>
    <col min="13" max="13" width="15.7109375" customWidth="1"/>
    <col min="14" max="14" width="18.42578125" customWidth="1"/>
    <col min="15" max="15" width="19.140625" customWidth="1"/>
    <col min="16" max="16" width="13.5703125" customWidth="1"/>
    <col min="17" max="17" width="22.42578125" customWidth="1"/>
    <col min="18" max="18" width="13.85546875" customWidth="1"/>
    <col min="19" max="19" width="13.5703125" customWidth="1"/>
    <col min="20" max="20" width="16.5703125" customWidth="1"/>
    <col min="21" max="21" width="14.85546875" customWidth="1"/>
    <col min="22" max="22" width="16.140625" customWidth="1"/>
    <col min="23" max="23" width="14.7109375" customWidth="1"/>
  </cols>
  <sheetData>
    <row r="2" spans="1:23" ht="18.75" x14ac:dyDescent="0.3">
      <c r="A2" s="5" t="s">
        <v>80</v>
      </c>
      <c r="B2" s="5"/>
    </row>
    <row r="3" spans="1:23" ht="18.75" x14ac:dyDescent="0.3">
      <c r="A3" s="8" t="s">
        <v>1</v>
      </c>
      <c r="B3" s="5"/>
      <c r="J3" t="s">
        <v>67</v>
      </c>
      <c r="K3">
        <v>9.81</v>
      </c>
      <c r="M3" t="s">
        <v>47</v>
      </c>
      <c r="N3" s="4">
        <v>0</v>
      </c>
      <c r="O3" s="3" t="s">
        <v>49</v>
      </c>
      <c r="P3" s="4">
        <v>0</v>
      </c>
      <c r="Q3" t="s">
        <v>51</v>
      </c>
      <c r="R3">
        <v>0</v>
      </c>
    </row>
    <row r="4" spans="1:23" x14ac:dyDescent="0.25">
      <c r="A4" s="1" t="s">
        <v>0</v>
      </c>
      <c r="J4" t="s">
        <v>46</v>
      </c>
      <c r="M4" t="s">
        <v>48</v>
      </c>
      <c r="N4" s="4">
        <v>0</v>
      </c>
      <c r="O4" s="3" t="s">
        <v>50</v>
      </c>
      <c r="P4" s="4">
        <v>0</v>
      </c>
    </row>
    <row r="6" spans="1:23" x14ac:dyDescent="0.25">
      <c r="A6" s="2" t="s">
        <v>2</v>
      </c>
      <c r="B6" s="2" t="s">
        <v>4</v>
      </c>
      <c r="C6" s="2" t="s">
        <v>6</v>
      </c>
      <c r="D6" s="2" t="s">
        <v>8</v>
      </c>
      <c r="E6" s="2" t="s">
        <v>10</v>
      </c>
      <c r="F6" s="2" t="s">
        <v>24</v>
      </c>
      <c r="G6" s="2" t="s">
        <v>32</v>
      </c>
      <c r="H6" s="2" t="s">
        <v>27</v>
      </c>
      <c r="I6" s="2" t="s">
        <v>11</v>
      </c>
      <c r="J6" s="2" t="s">
        <v>13</v>
      </c>
      <c r="K6" s="2" t="s">
        <v>14</v>
      </c>
      <c r="L6" s="2" t="s">
        <v>16</v>
      </c>
      <c r="M6" s="2" t="s">
        <v>28</v>
      </c>
      <c r="N6" s="2" t="s">
        <v>30</v>
      </c>
      <c r="O6" s="2" t="s">
        <v>31</v>
      </c>
      <c r="P6" s="2" t="s">
        <v>17</v>
      </c>
      <c r="Q6" s="2" t="s">
        <v>18</v>
      </c>
      <c r="R6" s="2" t="s">
        <v>19</v>
      </c>
      <c r="S6" s="2" t="s">
        <v>20</v>
      </c>
      <c r="T6" s="2" t="s">
        <v>29</v>
      </c>
      <c r="U6" s="2" t="s">
        <v>21</v>
      </c>
      <c r="V6" s="2" t="s">
        <v>38</v>
      </c>
      <c r="W6" s="2" t="s">
        <v>23</v>
      </c>
    </row>
    <row r="7" spans="1:23" x14ac:dyDescent="0.25">
      <c r="A7" s="2" t="s">
        <v>52</v>
      </c>
      <c r="B7" s="2" t="s">
        <v>45</v>
      </c>
      <c r="C7" s="2" t="s">
        <v>44</v>
      </c>
      <c r="D7" s="2" t="s">
        <v>9</v>
      </c>
      <c r="E7" s="2"/>
      <c r="F7" s="2" t="s">
        <v>45</v>
      </c>
      <c r="G7" s="2"/>
      <c r="H7" s="2"/>
      <c r="I7" s="2"/>
      <c r="J7" s="2"/>
      <c r="K7" s="2" t="s">
        <v>43</v>
      </c>
      <c r="L7" s="2" t="s">
        <v>43</v>
      </c>
      <c r="M7" s="2" t="s">
        <v>43</v>
      </c>
      <c r="N7" s="2" t="s">
        <v>43</v>
      </c>
      <c r="O7" s="2" t="s">
        <v>43</v>
      </c>
      <c r="P7" s="2" t="s">
        <v>25</v>
      </c>
      <c r="Q7" s="2" t="s">
        <v>26</v>
      </c>
      <c r="R7" s="2" t="s">
        <v>43</v>
      </c>
      <c r="S7" s="2" t="s">
        <v>43</v>
      </c>
      <c r="T7" s="2" t="s">
        <v>43</v>
      </c>
      <c r="U7" s="2" t="s">
        <v>43</v>
      </c>
      <c r="V7" s="2"/>
      <c r="W7" s="2" t="s">
        <v>42</v>
      </c>
    </row>
    <row r="8" spans="1:23" x14ac:dyDescent="0.25">
      <c r="P8" s="2" t="s">
        <v>43</v>
      </c>
      <c r="Q8" s="2" t="s">
        <v>43</v>
      </c>
    </row>
    <row r="9" spans="1:23" x14ac:dyDescent="0.25">
      <c r="P9" s="2"/>
      <c r="Q9" s="2"/>
    </row>
    <row r="10" spans="1:23" x14ac:dyDescent="0.25">
      <c r="A10" s="9">
        <v>378.5</v>
      </c>
      <c r="B10" s="9">
        <f>2*25.4</f>
        <v>50.8</v>
      </c>
      <c r="C10" s="10">
        <f>21.22*A10/B10^2</f>
        <v>3.1123170996341991</v>
      </c>
      <c r="D10" s="9">
        <v>1</v>
      </c>
      <c r="E10" s="11">
        <f>1000*C10*B10/D10</f>
        <v>158105.7086614173</v>
      </c>
      <c r="F10" s="12">
        <f>0.00015/3.28*1000</f>
        <v>4.573170731707317E-2</v>
      </c>
      <c r="G10" s="13">
        <f>F10/B10</f>
        <v>9.0023045899750344E-4</v>
      </c>
      <c r="H10" s="14">
        <v>1</v>
      </c>
      <c r="I10" s="15">
        <f>0.25/(LOG((F10/3.7/B10)+(5.74/E10^0.9))^2)</f>
        <v>2.1132378262295044E-2</v>
      </c>
      <c r="J10" s="10">
        <f>100000*I10*C10^2/B10/2/$K$3</f>
        <v>20.537772468916931</v>
      </c>
      <c r="K10" s="14">
        <f>75/3.28</f>
        <v>22.865853658536587</v>
      </c>
      <c r="L10" s="10">
        <f>J10*K10/100</f>
        <v>4.6961369974657616</v>
      </c>
      <c r="M10" s="14">
        <f>6*30*I10*C10^2/2/$K$3</f>
        <v>1.8779739145577641</v>
      </c>
      <c r="N10" s="14">
        <f>5/3.28</f>
        <v>1.524390243902439</v>
      </c>
      <c r="O10" s="14">
        <f>25/3.28</f>
        <v>7.6219512195121952</v>
      </c>
      <c r="P10" s="16">
        <f>$N$3^2/2/$K$3</f>
        <v>0</v>
      </c>
      <c r="Q10" s="16">
        <f>$N$4^2/2/$K$3</f>
        <v>0</v>
      </c>
      <c r="R10" s="16">
        <f>$P$4*0.102/H10</f>
        <v>0</v>
      </c>
      <c r="S10" s="16">
        <f>$P$5*0.102/H10</f>
        <v>0</v>
      </c>
      <c r="T10" s="9">
        <f>0.102*$R$3/H10</f>
        <v>0</v>
      </c>
      <c r="U10" s="10">
        <f>L10+T10+Q10-P10+S10-R10+M10+O10-N10</f>
        <v>12.671671887633284</v>
      </c>
      <c r="V10" s="14">
        <v>0.85</v>
      </c>
      <c r="W10" s="17">
        <f>H10*A10*U10/V10/6128</f>
        <v>0.9207932363441097</v>
      </c>
    </row>
    <row r="13" spans="1:23" x14ac:dyDescent="0.25">
      <c r="A13" s="7" t="s">
        <v>58</v>
      </c>
    </row>
    <row r="14" spans="1:23" x14ac:dyDescent="0.25">
      <c r="A14" s="7" t="s">
        <v>59</v>
      </c>
    </row>
    <row r="15" spans="1:23" x14ac:dyDescent="0.25">
      <c r="A15" s="7" t="s">
        <v>60</v>
      </c>
    </row>
    <row r="16" spans="1:23" x14ac:dyDescent="0.25">
      <c r="A16" s="7" t="s">
        <v>61</v>
      </c>
    </row>
    <row r="17" spans="1:5" x14ac:dyDescent="0.25">
      <c r="A17" s="4" t="s">
        <v>57</v>
      </c>
      <c r="B17" s="4"/>
      <c r="C17" s="4"/>
    </row>
    <row r="18" spans="1:5" x14ac:dyDescent="0.25">
      <c r="A18" t="s">
        <v>53</v>
      </c>
    </row>
    <row r="19" spans="1:5" x14ac:dyDescent="0.25">
      <c r="A19" s="8" t="s">
        <v>63</v>
      </c>
    </row>
    <row r="20" spans="1:5" x14ac:dyDescent="0.25">
      <c r="A20" t="s">
        <v>33</v>
      </c>
    </row>
    <row r="21" spans="1:5" x14ac:dyDescent="0.25">
      <c r="A21" t="s">
        <v>54</v>
      </c>
    </row>
    <row r="22" spans="1:5" x14ac:dyDescent="0.25">
      <c r="A22" t="s">
        <v>56</v>
      </c>
    </row>
    <row r="23" spans="1:5" x14ac:dyDescent="0.25">
      <c r="A23" t="s">
        <v>65</v>
      </c>
    </row>
    <row r="24" spans="1:5" x14ac:dyDescent="0.25">
      <c r="A24" t="s">
        <v>66</v>
      </c>
    </row>
    <row r="25" spans="1:5" x14ac:dyDescent="0.25">
      <c r="A25" t="s">
        <v>39</v>
      </c>
    </row>
    <row r="26" spans="1:5" x14ac:dyDescent="0.25">
      <c r="A26" t="s">
        <v>68</v>
      </c>
    </row>
    <row r="27" spans="1:5" x14ac:dyDescent="0.25">
      <c r="A27" t="s">
        <v>70</v>
      </c>
    </row>
    <row r="28" spans="1:5" x14ac:dyDescent="0.25">
      <c r="A28" t="s">
        <v>76</v>
      </c>
    </row>
    <row r="29" spans="1:5" x14ac:dyDescent="0.25">
      <c r="A29" t="s">
        <v>55</v>
      </c>
    </row>
    <row r="30" spans="1:5" x14ac:dyDescent="0.25">
      <c r="A30" t="s">
        <v>74</v>
      </c>
      <c r="E30" s="1" t="s">
        <v>75</v>
      </c>
    </row>
    <row r="31" spans="1:5" x14ac:dyDescent="0.25">
      <c r="A31" t="s">
        <v>72</v>
      </c>
    </row>
    <row r="32" spans="1:5" x14ac:dyDescent="0.25">
      <c r="A32" t="s">
        <v>73</v>
      </c>
    </row>
    <row r="34" spans="1:1" x14ac:dyDescent="0.25">
      <c r="A34" t="s">
        <v>64</v>
      </c>
    </row>
    <row r="35" spans="1:1" x14ac:dyDescent="0.25">
      <c r="A35" s="1" t="s">
        <v>62</v>
      </c>
    </row>
  </sheetData>
  <hyperlinks>
    <hyperlink ref="A4" r:id="rId1"/>
    <hyperlink ref="A35" r:id="rId2"/>
    <hyperlink ref="E30" r:id="rId3"/>
  </hyperlinks>
  <pageMargins left="0.7" right="0.7" top="0.75" bottom="0.75" header="0.3" footer="0.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34"/>
  <sheetViews>
    <sheetView tabSelected="1" topLeftCell="A10" workbookViewId="0">
      <selection activeCell="I13" sqref="I13"/>
    </sheetView>
  </sheetViews>
  <sheetFormatPr defaultRowHeight="15" x14ac:dyDescent="0.25"/>
  <cols>
    <col min="5" max="5" width="14" customWidth="1"/>
    <col min="6" max="6" width="13.7109375" customWidth="1"/>
    <col min="7" max="7" width="15.140625" customWidth="1"/>
    <col min="9" max="9" width="15.85546875" customWidth="1"/>
    <col min="10" max="10" width="12.42578125" customWidth="1"/>
    <col min="11" max="11" width="12.7109375" customWidth="1"/>
    <col min="12" max="12" width="15.5703125" customWidth="1"/>
    <col min="13" max="13" width="14" customWidth="1"/>
    <col min="14" max="15" width="18.42578125" customWidth="1"/>
    <col min="16" max="16" width="13.7109375" customWidth="1"/>
    <col min="17" max="17" width="17.42578125" customWidth="1"/>
    <col min="18" max="18" width="14.5703125" customWidth="1"/>
  </cols>
  <sheetData>
    <row r="2" spans="1:18" ht="18.75" x14ac:dyDescent="0.3">
      <c r="A2" s="5" t="s">
        <v>81</v>
      </c>
      <c r="B2" s="5"/>
    </row>
    <row r="3" spans="1:18" ht="18.75" x14ac:dyDescent="0.3">
      <c r="A3" s="8" t="s">
        <v>1</v>
      </c>
      <c r="B3" s="5"/>
      <c r="J3" t="s">
        <v>67</v>
      </c>
      <c r="K3">
        <v>9.81</v>
      </c>
      <c r="N3" s="6"/>
      <c r="O3" s="3"/>
    </row>
    <row r="4" spans="1:18" x14ac:dyDescent="0.25">
      <c r="A4" s="1" t="s">
        <v>0</v>
      </c>
      <c r="J4" t="s">
        <v>46</v>
      </c>
      <c r="N4" s="6"/>
      <c r="O4" s="3"/>
    </row>
    <row r="6" spans="1:18" x14ac:dyDescent="0.25">
      <c r="A6" s="2" t="s">
        <v>2</v>
      </c>
      <c r="B6" s="2" t="s">
        <v>4</v>
      </c>
      <c r="C6" s="2" t="s">
        <v>6</v>
      </c>
      <c r="D6" s="2" t="s">
        <v>8</v>
      </c>
      <c r="E6" s="2" t="s">
        <v>10</v>
      </c>
      <c r="F6" s="2" t="s">
        <v>24</v>
      </c>
      <c r="G6" s="2" t="s">
        <v>32</v>
      </c>
      <c r="H6" s="2" t="s">
        <v>27</v>
      </c>
      <c r="I6" s="2" t="s">
        <v>11</v>
      </c>
      <c r="J6" s="2" t="s">
        <v>13</v>
      </c>
      <c r="K6" s="2" t="s">
        <v>14</v>
      </c>
      <c r="L6" s="2" t="s">
        <v>16</v>
      </c>
      <c r="M6" s="2" t="s">
        <v>28</v>
      </c>
      <c r="N6" s="2" t="s">
        <v>30</v>
      </c>
      <c r="O6" s="2" t="s">
        <v>31</v>
      </c>
      <c r="P6" s="2" t="s">
        <v>21</v>
      </c>
      <c r="Q6" s="2" t="s">
        <v>38</v>
      </c>
      <c r="R6" s="2" t="s">
        <v>23</v>
      </c>
    </row>
    <row r="7" spans="1:18" x14ac:dyDescent="0.25">
      <c r="A7" s="2" t="s">
        <v>52</v>
      </c>
      <c r="B7" s="2" t="s">
        <v>45</v>
      </c>
      <c r="C7" s="2" t="s">
        <v>44</v>
      </c>
      <c r="D7" s="2" t="s">
        <v>9</v>
      </c>
      <c r="E7" s="2"/>
      <c r="F7" s="2" t="s">
        <v>45</v>
      </c>
      <c r="G7" s="2"/>
      <c r="H7" s="2"/>
      <c r="I7" s="2"/>
      <c r="J7" s="2"/>
      <c r="K7" s="2" t="s">
        <v>43</v>
      </c>
      <c r="L7" s="2" t="s">
        <v>43</v>
      </c>
      <c r="M7" s="2" t="s">
        <v>43</v>
      </c>
      <c r="N7" s="2" t="s">
        <v>43</v>
      </c>
      <c r="O7" s="2" t="s">
        <v>43</v>
      </c>
      <c r="P7" s="2" t="s">
        <v>43</v>
      </c>
      <c r="Q7" s="2"/>
      <c r="R7" s="2" t="s">
        <v>42</v>
      </c>
    </row>
    <row r="10" spans="1:18" x14ac:dyDescent="0.25">
      <c r="A10" s="9">
        <v>378.5</v>
      </c>
      <c r="B10" s="9">
        <f>2*25.4</f>
        <v>50.8</v>
      </c>
      <c r="C10" s="10">
        <f>21.22*A10/B10^2</f>
        <v>3.1123170996341991</v>
      </c>
      <c r="D10" s="9">
        <v>1</v>
      </c>
      <c r="E10" s="11">
        <f>1000*C10*B10/D10</f>
        <v>158105.7086614173</v>
      </c>
      <c r="F10" s="12">
        <f>0.00015/3.28*1000</f>
        <v>4.573170731707317E-2</v>
      </c>
      <c r="G10" s="13">
        <f>F10/B10</f>
        <v>9.0023045899750344E-4</v>
      </c>
      <c r="H10" s="14">
        <v>1</v>
      </c>
      <c r="I10" s="15">
        <f>0.25/(LOG((F10/3.7/B10)+(5.74/E10^0.9))^2)</f>
        <v>2.1132378262295044E-2</v>
      </c>
      <c r="J10" s="10">
        <f>100000*I10*C10^2/B10/2/$K$3</f>
        <v>20.537772468916931</v>
      </c>
      <c r="K10" s="14">
        <f>75/3.28</f>
        <v>22.865853658536587</v>
      </c>
      <c r="L10" s="10">
        <f>J10*K10/100</f>
        <v>4.6961369974657616</v>
      </c>
      <c r="M10" s="14">
        <v>0</v>
      </c>
      <c r="N10" s="14">
        <f>5/3.28</f>
        <v>1.524390243902439</v>
      </c>
      <c r="O10" s="14">
        <f>25/3.28</f>
        <v>7.6219512195121952</v>
      </c>
      <c r="P10" s="10">
        <f>L10+M10+O10-N10</f>
        <v>10.793697973075517</v>
      </c>
      <c r="Q10" s="14">
        <v>0.85</v>
      </c>
      <c r="R10" s="17">
        <f>H10*A10*P10/Q10/6128</f>
        <v>0.78432934319019421</v>
      </c>
    </row>
    <row r="13" spans="1:18" x14ac:dyDescent="0.25">
      <c r="A13" s="7" t="s">
        <v>58</v>
      </c>
    </row>
    <row r="14" spans="1:18" x14ac:dyDescent="0.25">
      <c r="A14" s="7" t="s">
        <v>59</v>
      </c>
    </row>
    <row r="15" spans="1:18" x14ac:dyDescent="0.25">
      <c r="A15" s="7" t="s">
        <v>60</v>
      </c>
    </row>
    <row r="16" spans="1:18" x14ac:dyDescent="0.25">
      <c r="A16" s="7" t="s">
        <v>61</v>
      </c>
    </row>
    <row r="17" spans="1:5" x14ac:dyDescent="0.25">
      <c r="A17" s="4" t="s">
        <v>57</v>
      </c>
      <c r="B17" s="4"/>
      <c r="C17" s="4"/>
    </row>
    <row r="18" spans="1:5" x14ac:dyDescent="0.25">
      <c r="A18" t="s">
        <v>53</v>
      </c>
    </row>
    <row r="19" spans="1:5" x14ac:dyDescent="0.25">
      <c r="A19" s="8" t="s">
        <v>63</v>
      </c>
    </row>
    <row r="20" spans="1:5" x14ac:dyDescent="0.25">
      <c r="A20" t="s">
        <v>33</v>
      </c>
    </row>
    <row r="21" spans="1:5" x14ac:dyDescent="0.25">
      <c r="A21" t="s">
        <v>54</v>
      </c>
    </row>
    <row r="22" spans="1:5" x14ac:dyDescent="0.25">
      <c r="A22" t="s">
        <v>56</v>
      </c>
    </row>
    <row r="23" spans="1:5" x14ac:dyDescent="0.25">
      <c r="A23" t="s">
        <v>65</v>
      </c>
    </row>
    <row r="24" spans="1:5" x14ac:dyDescent="0.25">
      <c r="A24" t="s">
        <v>66</v>
      </c>
    </row>
    <row r="25" spans="1:5" x14ac:dyDescent="0.25">
      <c r="A25" t="s">
        <v>68</v>
      </c>
    </row>
    <row r="26" spans="1:5" x14ac:dyDescent="0.25">
      <c r="A26" t="s">
        <v>70</v>
      </c>
    </row>
    <row r="27" spans="1:5" x14ac:dyDescent="0.25">
      <c r="A27" t="s">
        <v>71</v>
      </c>
    </row>
    <row r="28" spans="1:5" x14ac:dyDescent="0.25">
      <c r="A28" t="s">
        <v>55</v>
      </c>
    </row>
    <row r="29" spans="1:5" x14ac:dyDescent="0.25">
      <c r="A29" t="s">
        <v>74</v>
      </c>
      <c r="E29" s="1" t="s">
        <v>75</v>
      </c>
    </row>
    <row r="30" spans="1:5" x14ac:dyDescent="0.25">
      <c r="A30" t="s">
        <v>72</v>
      </c>
    </row>
    <row r="31" spans="1:5" x14ac:dyDescent="0.25">
      <c r="A31" t="s">
        <v>73</v>
      </c>
    </row>
    <row r="33" spans="1:1" x14ac:dyDescent="0.25">
      <c r="A33" t="s">
        <v>64</v>
      </c>
    </row>
    <row r="34" spans="1:1" x14ac:dyDescent="0.25">
      <c r="A34" s="1" t="s">
        <v>62</v>
      </c>
    </row>
  </sheetData>
  <hyperlinks>
    <hyperlink ref="A4" r:id="rId1"/>
    <hyperlink ref="A34" r:id="rId2"/>
    <hyperlink ref="E29" r:id="rId3"/>
  </hyperlinks>
  <pageMargins left="0.7" right="0.7" top="0.75" bottom="0.75" header="0.3" footer="0.3"/>
  <pageSetup orientation="portrait" horizontalDpi="4294967293" verticalDpi="4294967293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"/>
  <sheetViews>
    <sheetView workbookViewId="0">
      <selection activeCell="C2" sqref="C2"/>
    </sheetView>
  </sheetViews>
  <sheetFormatPr defaultRowHeight="15" x14ac:dyDescent="0.25"/>
  <sheetData>
    <row r="2" spans="5:5" ht="18.75" x14ac:dyDescent="0.3">
      <c r="E2" s="5" t="s">
        <v>69</v>
      </c>
    </row>
  </sheetData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complete Imp.</vt:lpstr>
      <vt:lpstr>simplified Imp.</vt:lpstr>
      <vt:lpstr>complete metric</vt:lpstr>
      <vt:lpstr>simplified metric</vt:lpstr>
      <vt:lpstr>moody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Jacques Chaurette</dc:creator>
  <cp:lastModifiedBy>Jacques Chaurette</cp:lastModifiedBy>
  <dcterms:created xsi:type="dcterms:W3CDTF">2016-06-17T13:34:01Z</dcterms:created>
  <dcterms:modified xsi:type="dcterms:W3CDTF">2016-06-19T14:45:25Z</dcterms:modified>
</cp:coreProperties>
</file>